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arSF/1XuFyjXjyqW2yyHPcW47Ay6vHMmWnwM3U9FOqA="/>
    </ext>
  </extLst>
</workbook>
</file>

<file path=xl/sharedStrings.xml><?xml version="1.0" encoding="utf-8"?>
<sst xmlns="http://schemas.openxmlformats.org/spreadsheetml/2006/main" count="16" uniqueCount="16">
  <si>
    <t>2023 UCSB CAREER TRACKS SALARY GRADE STRUCTURE (PSS and MSP) - EFFECTIVE JULY 1, 2023 (rev 6/9/23)</t>
  </si>
  <si>
    <t>CT Grade</t>
  </si>
  <si>
    <t>Annual 
MIN</t>
  </si>
  <si>
    <t>Annual 
MID</t>
  </si>
  <si>
    <t>Annual 
MAX</t>
  </si>
  <si>
    <t>Monthly 
MIN</t>
  </si>
  <si>
    <t>Monthly 
MID</t>
  </si>
  <si>
    <t>Monthly MAX</t>
  </si>
  <si>
    <t>Hourly MIN</t>
  </si>
  <si>
    <t>Hourly MID</t>
  </si>
  <si>
    <t>Hourly MAX</t>
  </si>
  <si>
    <t>Annual 25th Percentile</t>
  </si>
  <si>
    <t>Monthly 25th Percentile</t>
  </si>
  <si>
    <t>Range Spread</t>
  </si>
  <si>
    <t>The range structure was adjusted by approximately 3.75% at the midpoint and by varying amounts at the minimum and maximum in order to comply with systemwide range narrowing requirements.</t>
  </si>
  <si>
    <t>This structure is based on a 115% labor market geographic differential.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</si>
</sst>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"/>
    <numFmt numFmtId="166" formatCode="&quot;$&quot;#,##0_);[Red]\(&quot;$&quot;#,##0\)"/>
    <numFmt numFmtId="167" formatCode="&quot;$&quot;#,##0_);\(&quot;$&quot;#,##0\)"/>
  </numFmts>
  <fonts count="8">
    <font>
      <sz val="10.0"/>
      <color rgb="FF000000"/>
      <name val="Arial"/>
      <scheme val="minor"/>
    </font>
    <font>
      <b/>
      <sz val="14.0"/>
      <color theme="1"/>
      <name val="Calibri"/>
    </font>
    <font>
      <b/>
      <sz val="11.0"/>
      <color theme="1"/>
      <name val="Calibri"/>
    </font>
    <font>
      <b/>
      <i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i/>
      <sz val="9.0"/>
      <color theme="1"/>
      <name val="Calibri"/>
    </font>
    <font>
      <color theme="1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D0CECE"/>
        <bgColor rgb="FFD0CECE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2F2F2"/>
        <bgColor rgb="FFF2F2F2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 shrinkToFit="0" vertical="top" wrapText="0"/>
    </xf>
    <xf borderId="1" fillId="2" fontId="2" numFmtId="0" xfId="0" applyAlignment="1" applyBorder="1" applyFill="1" applyFont="1">
      <alignment horizontal="center" shrinkToFit="0" wrapText="1"/>
    </xf>
    <xf borderId="1" fillId="3" fontId="2" numFmtId="0" xfId="0" applyAlignment="1" applyBorder="1" applyFill="1" applyFont="1">
      <alignment horizontal="center" shrinkToFit="0" wrapText="1"/>
    </xf>
    <xf borderId="1" fillId="4" fontId="2" numFmtId="164" xfId="0" applyAlignment="1" applyBorder="1" applyFill="1" applyFont="1" applyNumberFormat="1">
      <alignment horizontal="center" shrinkToFit="0" wrapText="1"/>
    </xf>
    <xf borderId="1" fillId="5" fontId="2" numFmtId="0" xfId="0" applyAlignment="1" applyBorder="1" applyFill="1" applyFont="1">
      <alignment horizontal="center" shrinkToFit="0" wrapText="1"/>
    </xf>
    <xf borderId="1" fillId="6" fontId="3" numFmtId="165" xfId="0" applyAlignment="1" applyBorder="1" applyFill="1" applyFont="1" applyNumberFormat="1">
      <alignment horizontal="center" shrinkToFit="0" wrapText="1"/>
    </xf>
    <xf borderId="1" fillId="2" fontId="2" numFmtId="1" xfId="0" applyAlignment="1" applyBorder="1" applyFont="1" applyNumberFormat="1">
      <alignment horizontal="center" vertical="bottom"/>
    </xf>
    <xf borderId="1" fillId="7" fontId="4" numFmtId="166" xfId="0" applyAlignment="1" applyBorder="1" applyFill="1" applyFont="1" applyNumberFormat="1">
      <alignment horizontal="center" shrinkToFit="0" vertical="bottom" wrapText="1"/>
    </xf>
    <xf borderId="2" fillId="7" fontId="4" numFmtId="167" xfId="0" applyAlignment="1" applyBorder="1" applyFont="1" applyNumberFormat="1">
      <alignment horizontal="center" vertical="bottom"/>
    </xf>
    <xf borderId="2" fillId="7" fontId="4" numFmtId="166" xfId="0" applyAlignment="1" applyBorder="1" applyFont="1" applyNumberFormat="1">
      <alignment horizontal="center" shrinkToFit="0" vertical="bottom" wrapText="1"/>
    </xf>
    <xf borderId="1" fillId="8" fontId="4" numFmtId="164" xfId="0" applyAlignment="1" applyBorder="1" applyFill="1" applyFont="1" applyNumberFormat="1">
      <alignment horizontal="center" vertical="bottom"/>
    </xf>
    <xf borderId="1" fillId="9" fontId="4" numFmtId="164" xfId="0" applyAlignment="1" applyBorder="1" applyFill="1" applyFont="1" applyNumberFormat="1">
      <alignment horizontal="center" vertical="bottom"/>
    </xf>
    <xf borderId="1" fillId="10" fontId="5" numFmtId="165" xfId="0" applyAlignment="1" applyBorder="1" applyFill="1" applyFont="1" applyNumberFormat="1">
      <alignment horizontal="center" shrinkToFit="0" vertical="bottom" wrapText="1"/>
    </xf>
    <xf borderId="1" fillId="2" fontId="4" numFmtId="9" xfId="0" applyAlignment="1" applyBorder="1" applyFont="1" applyNumberFormat="1">
      <alignment horizontal="center" vertical="bottom"/>
    </xf>
    <xf borderId="3" fillId="7" fontId="4" numFmtId="166" xfId="0" applyAlignment="1" applyBorder="1" applyFont="1" applyNumberFormat="1">
      <alignment horizontal="center" shrinkToFit="0" vertical="bottom" wrapText="1"/>
    </xf>
    <xf borderId="4" fillId="7" fontId="4" numFmtId="167" xfId="0" applyAlignment="1" applyBorder="1" applyFont="1" applyNumberFormat="1">
      <alignment horizontal="center" vertical="bottom"/>
    </xf>
    <xf borderId="4" fillId="7" fontId="4" numFmtId="166" xfId="0" applyAlignment="1" applyBorder="1" applyFont="1" applyNumberFormat="1">
      <alignment horizontal="center" shrinkToFit="0" vertical="bottom" wrapText="1"/>
    </xf>
    <xf borderId="0" fillId="0" fontId="6" numFmtId="164" xfId="0" applyAlignment="1" applyFont="1" applyNumberFormat="1">
      <alignment readingOrder="0" shrinkToFit="0" vertical="bottom" wrapText="0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vertical="bottom"/>
    </xf>
    <xf borderId="0" fillId="0" fontId="7" numFmtId="0" xfId="0" applyAlignment="1" applyFont="1">
      <alignment vertical="bottom"/>
    </xf>
    <xf borderId="0" fillId="0" fontId="6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8.5"/>
    <col customWidth="1" min="2" max="4" width="9.75"/>
    <col customWidth="1" min="5" max="7" width="11.13"/>
    <col customWidth="1" min="8" max="10" width="8.88"/>
    <col customWidth="1" min="11" max="12" width="11.0"/>
    <col customWidth="1" min="13" max="13" width="8.63"/>
  </cols>
  <sheetData>
    <row r="1" ht="29.25" customHeight="1">
      <c r="A1" s="1" t="s">
        <v>0</v>
      </c>
    </row>
    <row r="2" ht="44.2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2" t="s">
        <v>13</v>
      </c>
    </row>
    <row r="3" ht="23.25" customHeight="1">
      <c r="A3" s="7">
        <v>31.0</v>
      </c>
      <c r="B3" s="8">
        <f t="shared" ref="B3:B19" si="3">+C3-(D3-C3)</f>
        <v>201800</v>
      </c>
      <c r="C3" s="9">
        <v>310500.0</v>
      </c>
      <c r="D3" s="10">
        <f>+MROUND(C3*1.35, 100)</f>
        <v>419200</v>
      </c>
      <c r="E3" s="11">
        <f t="shared" ref="E3:G3" si="1">ROUND((B3/12),2)</f>
        <v>16816.67</v>
      </c>
      <c r="F3" s="11">
        <f t="shared" si="1"/>
        <v>25875</v>
      </c>
      <c r="G3" s="11">
        <f t="shared" si="1"/>
        <v>34933.33</v>
      </c>
      <c r="H3" s="12">
        <f t="shared" ref="H3:J3" si="2">ROUND((B3/2088),2)</f>
        <v>96.65</v>
      </c>
      <c r="I3" s="12">
        <f t="shared" si="2"/>
        <v>148.71</v>
      </c>
      <c r="J3" s="12">
        <f t="shared" si="2"/>
        <v>200.77</v>
      </c>
      <c r="K3" s="13">
        <f t="shared" ref="K3:K19" si="6">ROUND((((D3-B3)*0.25)+B3),0)</f>
        <v>256150</v>
      </c>
      <c r="L3" s="13">
        <f t="shared" ref="L3:L19" si="7">ROUND((K3/12),0)</f>
        <v>21346</v>
      </c>
      <c r="M3" s="14">
        <f t="shared" ref="M3:M19" si="8">ROUND(((D3/B3)-1),2)</f>
        <v>1.08</v>
      </c>
    </row>
    <row r="4" ht="23.25" customHeight="1">
      <c r="A4" s="7">
        <v>30.0</v>
      </c>
      <c r="B4" s="15">
        <f t="shared" si="3"/>
        <v>178600</v>
      </c>
      <c r="C4" s="16">
        <v>272600.0</v>
      </c>
      <c r="D4" s="17">
        <f>+MROUND(C4*1.345, 100)</f>
        <v>366600</v>
      </c>
      <c r="E4" s="11">
        <f t="shared" ref="E4:G4" si="4">ROUND((B4/12),2)</f>
        <v>14883.33</v>
      </c>
      <c r="F4" s="11">
        <f t="shared" si="4"/>
        <v>22716.67</v>
      </c>
      <c r="G4" s="11">
        <f t="shared" si="4"/>
        <v>30550</v>
      </c>
      <c r="H4" s="12">
        <f t="shared" ref="H4:J4" si="5">ROUND((B4/2088),2)</f>
        <v>85.54</v>
      </c>
      <c r="I4" s="12">
        <f t="shared" si="5"/>
        <v>130.56</v>
      </c>
      <c r="J4" s="12">
        <f t="shared" si="5"/>
        <v>175.57</v>
      </c>
      <c r="K4" s="13">
        <f t="shared" si="6"/>
        <v>225600</v>
      </c>
      <c r="L4" s="13">
        <f t="shared" si="7"/>
        <v>18800</v>
      </c>
      <c r="M4" s="14">
        <f t="shared" si="8"/>
        <v>1.05</v>
      </c>
    </row>
    <row r="5" ht="23.25" customHeight="1">
      <c r="A5" s="7">
        <v>29.0</v>
      </c>
      <c r="B5" s="15">
        <f t="shared" si="3"/>
        <v>158300</v>
      </c>
      <c r="C5" s="16">
        <v>239100.0</v>
      </c>
      <c r="D5" s="17">
        <f>+MROUND(C5*1.338, 100)</f>
        <v>319900</v>
      </c>
      <c r="E5" s="11">
        <f t="shared" ref="E5:G5" si="9">ROUND((B5/12),2)</f>
        <v>13191.67</v>
      </c>
      <c r="F5" s="11">
        <f t="shared" si="9"/>
        <v>19925</v>
      </c>
      <c r="G5" s="11">
        <f t="shared" si="9"/>
        <v>26658.33</v>
      </c>
      <c r="H5" s="12">
        <f t="shared" ref="H5:J5" si="10">ROUND((B5/2088),2)</f>
        <v>75.81</v>
      </c>
      <c r="I5" s="12">
        <f t="shared" si="10"/>
        <v>114.51</v>
      </c>
      <c r="J5" s="12">
        <f t="shared" si="10"/>
        <v>153.21</v>
      </c>
      <c r="K5" s="13">
        <f t="shared" si="6"/>
        <v>198700</v>
      </c>
      <c r="L5" s="13">
        <f t="shared" si="7"/>
        <v>16558</v>
      </c>
      <c r="M5" s="14">
        <f t="shared" si="8"/>
        <v>1.02</v>
      </c>
    </row>
    <row r="6" ht="23.25" customHeight="1">
      <c r="A6" s="7">
        <v>28.0</v>
      </c>
      <c r="B6" s="15">
        <f t="shared" si="3"/>
        <v>140400</v>
      </c>
      <c r="C6" s="16">
        <v>209800.0</v>
      </c>
      <c r="D6" s="17">
        <f>+MROUND(C6*1.331, 100)</f>
        <v>279200</v>
      </c>
      <c r="E6" s="11">
        <f t="shared" ref="E6:G6" si="11">ROUND((B6/12),2)</f>
        <v>11700</v>
      </c>
      <c r="F6" s="11">
        <f t="shared" si="11"/>
        <v>17483.33</v>
      </c>
      <c r="G6" s="11">
        <f t="shared" si="11"/>
        <v>23266.67</v>
      </c>
      <c r="H6" s="12">
        <f t="shared" ref="H6:J6" si="12">ROUND((B6/2088),2)</f>
        <v>67.24</v>
      </c>
      <c r="I6" s="12">
        <f t="shared" si="12"/>
        <v>100.48</v>
      </c>
      <c r="J6" s="12">
        <f t="shared" si="12"/>
        <v>133.72</v>
      </c>
      <c r="K6" s="13">
        <f t="shared" si="6"/>
        <v>175100</v>
      </c>
      <c r="L6" s="13">
        <f t="shared" si="7"/>
        <v>14592</v>
      </c>
      <c r="M6" s="14">
        <f t="shared" si="8"/>
        <v>0.99</v>
      </c>
    </row>
    <row r="7" ht="23.25" customHeight="1">
      <c r="A7" s="7">
        <v>27.0</v>
      </c>
      <c r="B7" s="15">
        <f t="shared" si="3"/>
        <v>124200</v>
      </c>
      <c r="C7" s="16">
        <v>184000.0</v>
      </c>
      <c r="D7" s="17">
        <f>+MROUND(C7*1.325, 100)</f>
        <v>243800</v>
      </c>
      <c r="E7" s="11">
        <f t="shared" ref="E7:G7" si="13">ROUND((B7/12),2)</f>
        <v>10350</v>
      </c>
      <c r="F7" s="11">
        <f t="shared" si="13"/>
        <v>15333.33</v>
      </c>
      <c r="G7" s="11">
        <f t="shared" si="13"/>
        <v>20316.67</v>
      </c>
      <c r="H7" s="12">
        <f t="shared" ref="H7:J7" si="14">ROUND((B7/2088),2)</f>
        <v>59.48</v>
      </c>
      <c r="I7" s="12">
        <f t="shared" si="14"/>
        <v>88.12</v>
      </c>
      <c r="J7" s="12">
        <f t="shared" si="14"/>
        <v>116.76</v>
      </c>
      <c r="K7" s="13">
        <f t="shared" si="6"/>
        <v>154100</v>
      </c>
      <c r="L7" s="13">
        <f t="shared" si="7"/>
        <v>12842</v>
      </c>
      <c r="M7" s="14">
        <f t="shared" si="8"/>
        <v>0.96</v>
      </c>
    </row>
    <row r="8" ht="23.25" customHeight="1">
      <c r="A8" s="7">
        <v>26.0</v>
      </c>
      <c r="B8" s="15">
        <f t="shared" si="3"/>
        <v>112100</v>
      </c>
      <c r="C8" s="16">
        <v>164300.0</v>
      </c>
      <c r="D8" s="17">
        <f>+MROUND(C8*1.318, 100)</f>
        <v>216500</v>
      </c>
      <c r="E8" s="11">
        <f t="shared" ref="E8:G8" si="15">ROUND((B8/12),2)</f>
        <v>9341.67</v>
      </c>
      <c r="F8" s="11">
        <f t="shared" si="15"/>
        <v>13691.67</v>
      </c>
      <c r="G8" s="11">
        <f t="shared" si="15"/>
        <v>18041.67</v>
      </c>
      <c r="H8" s="12">
        <f t="shared" ref="H8:J8" si="16">ROUND((B8/2088),2)</f>
        <v>53.69</v>
      </c>
      <c r="I8" s="12">
        <f t="shared" si="16"/>
        <v>78.69</v>
      </c>
      <c r="J8" s="12">
        <f t="shared" si="16"/>
        <v>103.69</v>
      </c>
      <c r="K8" s="13">
        <f t="shared" si="6"/>
        <v>138200</v>
      </c>
      <c r="L8" s="13">
        <f t="shared" si="7"/>
        <v>11517</v>
      </c>
      <c r="M8" s="14">
        <f t="shared" si="8"/>
        <v>0.93</v>
      </c>
    </row>
    <row r="9" ht="23.25" customHeight="1">
      <c r="A9" s="7">
        <v>25.0</v>
      </c>
      <c r="B9" s="15">
        <f t="shared" si="3"/>
        <v>101100</v>
      </c>
      <c r="C9" s="16">
        <v>146700.0</v>
      </c>
      <c r="D9" s="17">
        <f>+MROUND(C9*1.311, 100)</f>
        <v>192300</v>
      </c>
      <c r="E9" s="11">
        <f t="shared" ref="E9:G9" si="17">ROUND((B9/12),2)</f>
        <v>8425</v>
      </c>
      <c r="F9" s="11">
        <f t="shared" si="17"/>
        <v>12225</v>
      </c>
      <c r="G9" s="11">
        <f t="shared" si="17"/>
        <v>16025</v>
      </c>
      <c r="H9" s="12">
        <f t="shared" ref="H9:J9" si="18">ROUND((B9/2088),2)</f>
        <v>48.42</v>
      </c>
      <c r="I9" s="12">
        <f t="shared" si="18"/>
        <v>70.26</v>
      </c>
      <c r="J9" s="12">
        <f t="shared" si="18"/>
        <v>92.1</v>
      </c>
      <c r="K9" s="13">
        <f t="shared" si="6"/>
        <v>123900</v>
      </c>
      <c r="L9" s="13">
        <f t="shared" si="7"/>
        <v>10325</v>
      </c>
      <c r="M9" s="14">
        <f t="shared" si="8"/>
        <v>0.9</v>
      </c>
    </row>
    <row r="10" ht="23.25" customHeight="1">
      <c r="A10" s="7">
        <v>24.0</v>
      </c>
      <c r="B10" s="15">
        <f t="shared" si="3"/>
        <v>91300</v>
      </c>
      <c r="C10" s="16">
        <v>131000.0</v>
      </c>
      <c r="D10" s="17">
        <f>+MROUND(C10*1.303, 100)</f>
        <v>170700</v>
      </c>
      <c r="E10" s="11">
        <f t="shared" ref="E10:G10" si="19">ROUND((B10/12),2)</f>
        <v>7608.33</v>
      </c>
      <c r="F10" s="11">
        <f t="shared" si="19"/>
        <v>10916.67</v>
      </c>
      <c r="G10" s="11">
        <f t="shared" si="19"/>
        <v>14225</v>
      </c>
      <c r="H10" s="12">
        <f t="shared" ref="H10:J10" si="20">ROUND((B10/2088),2)</f>
        <v>43.73</v>
      </c>
      <c r="I10" s="12">
        <f t="shared" si="20"/>
        <v>62.74</v>
      </c>
      <c r="J10" s="12">
        <f t="shared" si="20"/>
        <v>81.75</v>
      </c>
      <c r="K10" s="13">
        <f t="shared" si="6"/>
        <v>111150</v>
      </c>
      <c r="L10" s="13">
        <f t="shared" si="7"/>
        <v>9263</v>
      </c>
      <c r="M10" s="14">
        <f t="shared" si="8"/>
        <v>0.87</v>
      </c>
    </row>
    <row r="11" ht="23.25" customHeight="1">
      <c r="A11" s="7">
        <v>23.0</v>
      </c>
      <c r="B11" s="15">
        <f t="shared" si="3"/>
        <v>82300</v>
      </c>
      <c r="C11" s="16">
        <v>117000.0</v>
      </c>
      <c r="D11" s="17">
        <f>+MROUND(C11*1.297, 100)</f>
        <v>151700</v>
      </c>
      <c r="E11" s="11">
        <f t="shared" ref="E11:G11" si="21">ROUND((B11/12),2)</f>
        <v>6858.33</v>
      </c>
      <c r="F11" s="11">
        <f t="shared" si="21"/>
        <v>9750</v>
      </c>
      <c r="G11" s="11">
        <f t="shared" si="21"/>
        <v>12641.67</v>
      </c>
      <c r="H11" s="12">
        <f t="shared" ref="H11:J11" si="22">ROUND((B11/2088),2)</f>
        <v>39.42</v>
      </c>
      <c r="I11" s="12">
        <f t="shared" si="22"/>
        <v>56.03</v>
      </c>
      <c r="J11" s="12">
        <f t="shared" si="22"/>
        <v>72.65</v>
      </c>
      <c r="K11" s="13">
        <f t="shared" si="6"/>
        <v>99650</v>
      </c>
      <c r="L11" s="13">
        <f t="shared" si="7"/>
        <v>8304</v>
      </c>
      <c r="M11" s="14">
        <f t="shared" si="8"/>
        <v>0.84</v>
      </c>
    </row>
    <row r="12" ht="23.25" customHeight="1">
      <c r="A12" s="7">
        <v>22.0</v>
      </c>
      <c r="B12" s="15">
        <f t="shared" si="3"/>
        <v>74300</v>
      </c>
      <c r="C12" s="16">
        <v>104400.0</v>
      </c>
      <c r="D12" s="17">
        <f>+MROUND(C12*1.288, 100)</f>
        <v>134500</v>
      </c>
      <c r="E12" s="11">
        <f t="shared" ref="E12:G12" si="23">ROUND((B12/12),2)</f>
        <v>6191.67</v>
      </c>
      <c r="F12" s="11">
        <f t="shared" si="23"/>
        <v>8700</v>
      </c>
      <c r="G12" s="11">
        <f t="shared" si="23"/>
        <v>11208.33</v>
      </c>
      <c r="H12" s="12">
        <f t="shared" ref="H12:J12" si="24">ROUND((B12/2088),2)</f>
        <v>35.58</v>
      </c>
      <c r="I12" s="12">
        <f t="shared" si="24"/>
        <v>50</v>
      </c>
      <c r="J12" s="12">
        <f t="shared" si="24"/>
        <v>64.42</v>
      </c>
      <c r="K12" s="13">
        <f t="shared" si="6"/>
        <v>89350</v>
      </c>
      <c r="L12" s="13">
        <f t="shared" si="7"/>
        <v>7446</v>
      </c>
      <c r="M12" s="14">
        <f t="shared" si="8"/>
        <v>0.81</v>
      </c>
    </row>
    <row r="13" ht="23.25" customHeight="1">
      <c r="A13" s="7">
        <v>21.0</v>
      </c>
      <c r="B13" s="15">
        <f t="shared" si="3"/>
        <v>67200</v>
      </c>
      <c r="C13" s="16">
        <v>93400.0</v>
      </c>
      <c r="D13" s="17">
        <f>+MROUND(C13*1.28, 100)</f>
        <v>119600</v>
      </c>
      <c r="E13" s="11">
        <f t="shared" ref="E13:G13" si="25">ROUND((B13/12),2)</f>
        <v>5600</v>
      </c>
      <c r="F13" s="11">
        <f t="shared" si="25"/>
        <v>7783.33</v>
      </c>
      <c r="G13" s="11">
        <f t="shared" si="25"/>
        <v>9966.67</v>
      </c>
      <c r="H13" s="12">
        <f t="shared" ref="H13:J13" si="26">ROUND((B13/2088),2)</f>
        <v>32.18</v>
      </c>
      <c r="I13" s="12">
        <f t="shared" si="26"/>
        <v>44.73</v>
      </c>
      <c r="J13" s="12">
        <f t="shared" si="26"/>
        <v>57.28</v>
      </c>
      <c r="K13" s="13">
        <f t="shared" si="6"/>
        <v>80300</v>
      </c>
      <c r="L13" s="13">
        <f t="shared" si="7"/>
        <v>6692</v>
      </c>
      <c r="M13" s="14">
        <f t="shared" si="8"/>
        <v>0.78</v>
      </c>
    </row>
    <row r="14" ht="23.25" customHeight="1">
      <c r="A14" s="7">
        <v>20.0</v>
      </c>
      <c r="B14" s="15">
        <f t="shared" si="3"/>
        <v>61700</v>
      </c>
      <c r="C14" s="16">
        <v>84900.0</v>
      </c>
      <c r="D14" s="17">
        <f>+MROUND(C14*1.273, 100)</f>
        <v>108100</v>
      </c>
      <c r="E14" s="11">
        <f t="shared" ref="E14:G14" si="27">ROUND((B14/12),2)</f>
        <v>5141.67</v>
      </c>
      <c r="F14" s="11">
        <f t="shared" si="27"/>
        <v>7075</v>
      </c>
      <c r="G14" s="11">
        <f t="shared" si="27"/>
        <v>9008.33</v>
      </c>
      <c r="H14" s="12">
        <f t="shared" ref="H14:J14" si="28">ROUND((B14/2088),2)</f>
        <v>29.55</v>
      </c>
      <c r="I14" s="12">
        <f t="shared" si="28"/>
        <v>40.66</v>
      </c>
      <c r="J14" s="12">
        <f t="shared" si="28"/>
        <v>51.77</v>
      </c>
      <c r="K14" s="13">
        <f t="shared" si="6"/>
        <v>73300</v>
      </c>
      <c r="L14" s="13">
        <f t="shared" si="7"/>
        <v>6108</v>
      </c>
      <c r="M14" s="14">
        <f t="shared" si="8"/>
        <v>0.75</v>
      </c>
    </row>
    <row r="15" ht="23.25" customHeight="1">
      <c r="A15" s="7">
        <v>19.0</v>
      </c>
      <c r="B15" s="15">
        <f t="shared" si="3"/>
        <v>56700</v>
      </c>
      <c r="C15" s="16">
        <v>77100.0</v>
      </c>
      <c r="D15" s="17">
        <f>+MROUND(C15*1.265, 100)</f>
        <v>97500</v>
      </c>
      <c r="E15" s="11">
        <f t="shared" ref="E15:G15" si="29">ROUND((B15/12),2)</f>
        <v>4725</v>
      </c>
      <c r="F15" s="11">
        <f t="shared" si="29"/>
        <v>6425</v>
      </c>
      <c r="G15" s="11">
        <f t="shared" si="29"/>
        <v>8125</v>
      </c>
      <c r="H15" s="12">
        <f t="shared" ref="H15:J15" si="30">ROUND((B15/2088),2)</f>
        <v>27.16</v>
      </c>
      <c r="I15" s="12">
        <f t="shared" si="30"/>
        <v>36.93</v>
      </c>
      <c r="J15" s="12">
        <f t="shared" si="30"/>
        <v>46.7</v>
      </c>
      <c r="K15" s="13">
        <f t="shared" si="6"/>
        <v>66900</v>
      </c>
      <c r="L15" s="13">
        <f t="shared" si="7"/>
        <v>5575</v>
      </c>
      <c r="M15" s="14">
        <f t="shared" si="8"/>
        <v>0.72</v>
      </c>
    </row>
    <row r="16" ht="23.25" customHeight="1">
      <c r="A16" s="7">
        <v>18.0</v>
      </c>
      <c r="B16" s="15">
        <f t="shared" si="3"/>
        <v>52100</v>
      </c>
      <c r="C16" s="16">
        <v>70000.0</v>
      </c>
      <c r="D16" s="17">
        <f>+MROUND(C16*1.256, 100)</f>
        <v>87900</v>
      </c>
      <c r="E16" s="11">
        <f t="shared" ref="E16:G16" si="31">ROUND((B16/12),2)</f>
        <v>4341.67</v>
      </c>
      <c r="F16" s="11">
        <f t="shared" si="31"/>
        <v>5833.33</v>
      </c>
      <c r="G16" s="11">
        <f t="shared" si="31"/>
        <v>7325</v>
      </c>
      <c r="H16" s="12">
        <f t="shared" ref="H16:J16" si="32">ROUND((B16/2088),2)</f>
        <v>24.95</v>
      </c>
      <c r="I16" s="12">
        <f t="shared" si="32"/>
        <v>33.52</v>
      </c>
      <c r="J16" s="12">
        <f t="shared" si="32"/>
        <v>42.1</v>
      </c>
      <c r="K16" s="13">
        <f t="shared" si="6"/>
        <v>61050</v>
      </c>
      <c r="L16" s="13">
        <f t="shared" si="7"/>
        <v>5088</v>
      </c>
      <c r="M16" s="14">
        <f t="shared" si="8"/>
        <v>0.69</v>
      </c>
    </row>
    <row r="17" ht="23.25" customHeight="1">
      <c r="A17" s="7">
        <v>17.0</v>
      </c>
      <c r="B17" s="15">
        <f t="shared" si="3"/>
        <v>47800</v>
      </c>
      <c r="C17" s="16">
        <v>63600.0</v>
      </c>
      <c r="D17" s="17">
        <f>+MROUND(C17*1.248, 100)</f>
        <v>79400</v>
      </c>
      <c r="E17" s="11">
        <f t="shared" ref="E17:G17" si="33">ROUND((B17/12),2)</f>
        <v>3983.33</v>
      </c>
      <c r="F17" s="11">
        <f t="shared" si="33"/>
        <v>5300</v>
      </c>
      <c r="G17" s="11">
        <f t="shared" si="33"/>
        <v>6616.67</v>
      </c>
      <c r="H17" s="12">
        <f t="shared" ref="H17:J17" si="34">ROUND((B17/2088),2)</f>
        <v>22.89</v>
      </c>
      <c r="I17" s="12">
        <f t="shared" si="34"/>
        <v>30.46</v>
      </c>
      <c r="J17" s="12">
        <f t="shared" si="34"/>
        <v>38.03</v>
      </c>
      <c r="K17" s="13">
        <f t="shared" si="6"/>
        <v>55700</v>
      </c>
      <c r="L17" s="13">
        <f t="shared" si="7"/>
        <v>4642</v>
      </c>
      <c r="M17" s="14">
        <f t="shared" si="8"/>
        <v>0.66</v>
      </c>
    </row>
    <row r="18" ht="23.25" customHeight="1">
      <c r="A18" s="7">
        <v>16.0</v>
      </c>
      <c r="B18" s="15">
        <f t="shared" si="3"/>
        <v>43800</v>
      </c>
      <c r="C18" s="16">
        <v>57700.0</v>
      </c>
      <c r="D18" s="17">
        <f>+MROUND(C18*1.241, 100)</f>
        <v>71600</v>
      </c>
      <c r="E18" s="11">
        <f t="shared" ref="E18:G18" si="35">ROUND((B18/12),2)</f>
        <v>3650</v>
      </c>
      <c r="F18" s="11">
        <f t="shared" si="35"/>
        <v>4808.33</v>
      </c>
      <c r="G18" s="11">
        <f t="shared" si="35"/>
        <v>5966.67</v>
      </c>
      <c r="H18" s="12">
        <f t="shared" ref="H18:J18" si="36">ROUND((B18/2088),2)</f>
        <v>20.98</v>
      </c>
      <c r="I18" s="12">
        <f t="shared" si="36"/>
        <v>27.63</v>
      </c>
      <c r="J18" s="12">
        <f t="shared" si="36"/>
        <v>34.29</v>
      </c>
      <c r="K18" s="13">
        <f t="shared" si="6"/>
        <v>50750</v>
      </c>
      <c r="L18" s="13">
        <f t="shared" si="7"/>
        <v>4229</v>
      </c>
      <c r="M18" s="14">
        <f t="shared" si="8"/>
        <v>0.63</v>
      </c>
    </row>
    <row r="19" ht="23.25" customHeight="1">
      <c r="A19" s="7">
        <v>15.0</v>
      </c>
      <c r="B19" s="15">
        <f t="shared" si="3"/>
        <v>40400</v>
      </c>
      <c r="C19" s="16">
        <v>52600.0</v>
      </c>
      <c r="D19" s="17">
        <f>+MROUND(C19*1.231, 100)</f>
        <v>64800</v>
      </c>
      <c r="E19" s="11">
        <f t="shared" ref="E19:G19" si="37">ROUND((B19/12),2)</f>
        <v>3366.67</v>
      </c>
      <c r="F19" s="11">
        <f t="shared" si="37"/>
        <v>4383.33</v>
      </c>
      <c r="G19" s="11">
        <f t="shared" si="37"/>
        <v>5400</v>
      </c>
      <c r="H19" s="12">
        <f t="shared" ref="H19:J19" si="38">ROUND((B19/2088),2)</f>
        <v>19.35</v>
      </c>
      <c r="I19" s="12">
        <f t="shared" si="38"/>
        <v>25.19</v>
      </c>
      <c r="J19" s="12">
        <f t="shared" si="38"/>
        <v>31.03</v>
      </c>
      <c r="K19" s="13">
        <f t="shared" si="6"/>
        <v>46500</v>
      </c>
      <c r="L19" s="13">
        <f t="shared" si="7"/>
        <v>3875</v>
      </c>
      <c r="M19" s="14">
        <f t="shared" si="8"/>
        <v>0.6</v>
      </c>
    </row>
    <row r="20" ht="18.0" customHeight="1">
      <c r="A20" s="18" t="s">
        <v>14</v>
      </c>
      <c r="B20" s="19"/>
      <c r="C20" s="19"/>
      <c r="D20" s="19"/>
      <c r="E20" s="20"/>
      <c r="F20" s="20"/>
      <c r="G20" s="20"/>
      <c r="H20" s="19"/>
      <c r="I20" s="19"/>
      <c r="J20" s="19"/>
      <c r="K20" s="19"/>
      <c r="L20" s="19"/>
      <c r="M20" s="19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5.75" customHeight="1">
      <c r="A21" s="22" t="s">
        <v>15</v>
      </c>
      <c r="B21" s="19"/>
      <c r="C21" s="19"/>
      <c r="D21" s="19"/>
      <c r="E21" s="20"/>
      <c r="F21" s="20"/>
      <c r="G21" s="20"/>
      <c r="H21" s="19"/>
      <c r="I21" s="19"/>
      <c r="J21" s="19"/>
      <c r="K21" s="19"/>
      <c r="L21" s="19"/>
      <c r="M21" s="1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M1"/>
  </mergeCells>
  <printOptions horizontalCentered="1"/>
  <pageMargins bottom="0.75" footer="0.0" header="0.0" left="0.7" right="0.7" top="0.75"/>
  <pageSetup fitToHeight="0" orientation="landscape" pageOrder="overThenDown"/>
  <drawing r:id="rId1"/>
</worksheet>
</file>